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<sst xmlns="http://schemas.openxmlformats.org/spreadsheetml/2006/main" count="38" uniqueCount="38">
  <si>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</si>
  <si>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</si>
  <si>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</si>
  <si>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</si>
  <si>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</si>
  <si>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</si>
  <si>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</si>
  <si>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</si>
  <si>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</si>
  <si>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</si>
  <si>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</si>
  <si>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</si>
  <si>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</si>
  <si>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</si>
  <si>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</si>
  <si>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</si>
  <si>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</si>
  <si>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</si>
  <si>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</si>
  <si>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</si>
  <si>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</si>
  <si>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</si>
  <si>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</si>
  <si>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</si>
  <si>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</si>
  <si>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</si>
  <si>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</si>
  <si>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</si>
  <si>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2932,00 - замена доводчика.                                                          2121,00 - ремонт трубопровода ГВС (кв. 69).</t>
  </si>
  <si>
    <t xml:space="preserve">764,00 - ремонт трубопровода ХВС (кв.76 стояк кухня).                                                                     14973,00 - замена счетчика ХВС.                                                                  </t>
  </si>
  <si>
    <t xml:space="preserve">20933,00 - установка слуховых окон (техэтаж).      356,00 - замена вентиля (подвал).                               139380,00 - ремонт 2-ого подъезда.   </t>
  </si>
  <si>
    <t xml:space="preserve">6348,00 - ремонт трубопровода ГВС (кв. 109).      29589,00 - замена кранов шаровых ГВС (подвал теплоузл 1 подъезд).                                      526,00 - замена крана шарового ГВС (3 подъезд подвал).                                                                          6591,00 - ремонт трубопровода ХВС (2 подъезд).                                                                                6811,00 - ремонт трубопровода ГВС, ХВС (кв. 109).                                                                                   2984,00 - ремонт трубопровода канализации (кв. 80).                                                                              </t>
  </si>
  <si>
    <t xml:space="preserve">13188,00 - замена задвижки д-80 мм (теплоузел).                                                                       6348,00 - ремонт трубопровода ГВС (кв. 109 по подвалу).          </t>
  </si>
  <si>
    <t xml:space="preserve">6827,00 - ремонт трубопровода ХВС, ГВС  (кв.37 стояк).                                                            1583,00 - ремонт трубопровода ХВС (кв. 75 стояк подвал).        </t>
  </si>
  <si>
    <t>5735,00 - стенд информационный (5 шт.).</t>
  </si>
  <si>
    <t>1490,00 - замена трубопровода ХВС (кв. 91,95).</t>
  </si>
  <si>
    <t>14040,00 - ремонт стыков стеновых панелей (кв. 142).</t>
  </si>
  <si>
    <t>6389,00 - ремонт трубопровода ГВС, канализации (кв. 176 стояк).                                        688,00 - установка перемычки (кв. 120).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</si>
</sst>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6">
      <selection activeCell="G23" sqref="G22:G23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2112</v>
      </c>
      <c r="B1" s="24"/>
      <c r="C1" s="24"/>
      <c r="D1" s="24"/>
      <c r="E1" s="24"/>
    </row>
    <row r="2" spans="1:5" ht="41.25" customHeight="1">
      <c r="A2" s="26" t="s">
        <v>26</v>
      </c>
      <c r="B2" s="27"/>
      <c r="C2" s="27"/>
      <c r="D2" s="27"/>
      <c r="E2" s="27"/>
    </row>
    <row r="3" spans="1:5" ht="36.75" customHeight="1">
      <c r="A3" s="25" t="str">
        <f>VLOOKUP(A1,'[1]2021'!$A$1:$AH$102,2,0)</f>
        <v>ул.Черняховского д.29</v>
      </c>
      <c r="B3" s="25"/>
      <c r="C3" s="25"/>
      <c r="D3" s="25"/>
      <c r="E3" s="25"/>
    </row>
    <row r="4" spans="1:5" ht="30.75" customHeight="1">
      <c r="A4" s="28" t="s">
        <v>20</v>
      </c>
      <c r="B4" s="28"/>
      <c r="C4" s="28"/>
      <c r="D4" s="28"/>
      <c r="E4" s="14" t="s">
        <v>18</v>
      </c>
    </row>
    <row r="5" spans="1:5" ht="15.75" customHeight="1">
      <c r="A5" s="29" t="s">
        <v>21</v>
      </c>
      <c r="B5" s="29"/>
      <c r="C5" s="29"/>
      <c r="D5" s="29"/>
      <c r="E5" s="15" t="s">
        <v>22</v>
      </c>
    </row>
    <row r="6" spans="1:5" ht="15" customHeight="1">
      <c r="A6" s="21" t="s">
        <v>17</v>
      </c>
      <c r="B6" s="21"/>
      <c r="C6" s="21"/>
      <c r="D6" s="21"/>
      <c r="E6" s="16">
        <f>VLOOKUP(A1,'[1]2021'!$A$1:$AH$101,3,0)</f>
        <v>9494.7</v>
      </c>
    </row>
    <row r="7" spans="1:5" ht="33" customHeight="1">
      <c r="A7" s="21" t="s">
        <v>27</v>
      </c>
      <c r="B7" s="21"/>
      <c r="C7" s="21"/>
      <c r="D7" s="21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19" t="s">
        <v>24</v>
      </c>
      <c r="B10" s="20"/>
      <c r="C10" s="20"/>
      <c r="D10" s="20"/>
      <c r="E10" s="13">
        <f>VLOOKUP(A1,'[1]2021'!$A$1:$AH$101,4,0)</f>
        <v>786434.4200000002</v>
      </c>
    </row>
    <row r="11" spans="1:5" ht="33" customHeight="1">
      <c r="A11" s="3">
        <v>1</v>
      </c>
      <c r="B11" s="9" t="s">
        <v>4</v>
      </c>
      <c r="C11" s="5">
        <f>VLOOKUP(A1,'[1]2021'!$A$1:$AH$101,5,0)</f>
        <v>24372.18</v>
      </c>
      <c r="D11" s="5">
        <f>VLOOKUP(A1,'[1]2021'!$A$1:$AH$101,18,0)</f>
        <v>5053</v>
      </c>
      <c r="E11" s="7" t="s">
        <v>28</v>
      </c>
    </row>
    <row r="12" spans="1:5" ht="46.5" customHeight="1">
      <c r="A12" s="3">
        <v>2</v>
      </c>
      <c r="B12" s="9" t="s">
        <v>5</v>
      </c>
      <c r="C12" s="5">
        <f>VLOOKUP(A1,'[1]2021'!$A$1:$AH$101,6,0)</f>
        <v>24880.64</v>
      </c>
      <c r="D12" s="5">
        <f>VLOOKUP(A1,'[1]2021'!$A$1:$AH$101,19,0)</f>
        <v>15737</v>
      </c>
      <c r="E12" s="7" t="s">
        <v>29</v>
      </c>
    </row>
    <row r="13" spans="1:5" ht="48" customHeight="1">
      <c r="A13" s="3">
        <v>3</v>
      </c>
      <c r="B13" s="9" t="s">
        <v>6</v>
      </c>
      <c r="C13" s="5">
        <f>VLOOKUP(A1,'[1]2021'!$A$1:$AH$101,7,0)</f>
        <v>25070.850000000002</v>
      </c>
      <c r="D13" s="5">
        <f>VLOOKUP(A1,'[1]2021'!$A$1:$AH$101,20,0)</f>
        <v>160669</v>
      </c>
      <c r="E13" s="7" t="s">
        <v>30</v>
      </c>
    </row>
    <row r="14" spans="1:5" ht="15.75">
      <c r="A14" s="3">
        <v>4</v>
      </c>
      <c r="B14" s="9" t="s">
        <v>7</v>
      </c>
      <c r="C14" s="5">
        <f>VLOOKUP(A1,'[1]2021'!$A$1:$AH$101,8,0)</f>
        <v>25413.45</v>
      </c>
      <c r="D14" s="5">
        <f>VLOOKUP(A1,'[1]2021'!$A$1:$AH$101,21,0)</f>
        <v>0</v>
      </c>
      <c r="E14" s="7"/>
    </row>
    <row r="15" spans="1:5" ht="172.5" customHeight="1">
      <c r="A15" s="3">
        <v>5</v>
      </c>
      <c r="B15" s="9" t="s">
        <v>8</v>
      </c>
      <c r="C15" s="5">
        <f>VLOOKUP(A1,'[1]2021'!$A$1:$AH$101,9,0)</f>
        <v>27853.23</v>
      </c>
      <c r="D15" s="5">
        <f>VLOOKUP(A1,'[1]2021'!$A$1:$AH$101,22,0)</f>
        <v>52849</v>
      </c>
      <c r="E15" s="7" t="s">
        <v>31</v>
      </c>
    </row>
    <row r="16" spans="1:5" ht="63">
      <c r="A16" s="3">
        <v>6</v>
      </c>
      <c r="B16" s="9" t="s">
        <v>9</v>
      </c>
      <c r="C16" s="5">
        <f>VLOOKUP(A1,'[1]2021'!$A$1:$AH$101,10,0)</f>
        <v>25661.190000000002</v>
      </c>
      <c r="D16" s="5">
        <f>VLOOKUP(A1,'[1]2021'!$A$1:$AH$101,23,0)</f>
        <v>30135</v>
      </c>
      <c r="E16" s="7" t="s">
        <v>32</v>
      </c>
    </row>
    <row r="17" spans="1:5" ht="63">
      <c r="A17" s="3">
        <v>7</v>
      </c>
      <c r="B17" s="9" t="s">
        <v>10</v>
      </c>
      <c r="C17" s="5">
        <f>VLOOKUP(A1,'[1]2021'!$A$1:$AH$101,11,0)</f>
        <v>28139.83</v>
      </c>
      <c r="D17" s="5">
        <f>VLOOKUP(A1,'[1]2021'!$A$1:$AH$101,24,0)</f>
        <v>11380.4</v>
      </c>
      <c r="E17" s="7" t="s">
        <v>33</v>
      </c>
    </row>
    <row r="18" spans="1:5" ht="15.75">
      <c r="A18" s="3">
        <v>8</v>
      </c>
      <c r="B18" s="9" t="s">
        <v>11</v>
      </c>
      <c r="C18" s="5">
        <f>VLOOKUP(A1,'[1]2021'!$A$1:$AH$101,12,0)</f>
        <v>24510.190000000002</v>
      </c>
      <c r="D18" s="5">
        <f>VLOOKUP(A1,'[1]2021'!$A$1:$AH$102,25,0)</f>
        <v>5735</v>
      </c>
      <c r="E18" s="7" t="s">
        <v>34</v>
      </c>
    </row>
    <row r="19" spans="1:5" ht="15.75">
      <c r="A19" s="3">
        <v>9</v>
      </c>
      <c r="B19" s="9" t="s">
        <v>12</v>
      </c>
      <c r="C19" s="5">
        <f>VLOOKUP(A1,'[1]2021'!$A$1:$AH$101,13,0)</f>
        <v>27888.45</v>
      </c>
      <c r="D19" s="5">
        <f>VLOOKUP(A1,'[1]2021'!$A$1:$AH$101,26,0)</f>
        <v>0</v>
      </c>
      <c r="E19" s="7"/>
    </row>
    <row r="20" spans="1:5" ht="33.75" customHeight="1">
      <c r="A20" s="3">
        <v>10</v>
      </c>
      <c r="B20" s="9" t="s">
        <v>13</v>
      </c>
      <c r="C20" s="5">
        <f>VLOOKUP(A1,'[1]2021'!$A$1:$AH$101,14,0)</f>
        <v>29197.43</v>
      </c>
      <c r="D20" s="5">
        <f>VLOOKUP(A1,'[1]2021'!$A$1:$AH$101,27,0)</f>
        <v>1490</v>
      </c>
      <c r="E20" s="7" t="s">
        <v>35</v>
      </c>
    </row>
    <row r="21" spans="1:5" ht="32.25" customHeight="1">
      <c r="A21" s="3">
        <v>11</v>
      </c>
      <c r="B21" s="9" t="s">
        <v>14</v>
      </c>
      <c r="C21" s="5">
        <f>VLOOKUP(A1,'[1]2021'!$A$1:$AH$101,15,0)</f>
        <v>26382.07</v>
      </c>
      <c r="D21" s="5">
        <f>VLOOKUP(A1,'[1]2021'!$A$1:$AH$101,28,0)</f>
        <v>14040</v>
      </c>
      <c r="E21" s="7" t="s">
        <v>36</v>
      </c>
    </row>
    <row r="22" spans="1:5" ht="47.25">
      <c r="A22" s="3">
        <v>12</v>
      </c>
      <c r="B22" s="9" t="s">
        <v>15</v>
      </c>
      <c r="C22" s="5">
        <f>VLOOKUP(A1,'[1]2021'!$A$1:$AH$101,16,0)</f>
        <v>30821.62</v>
      </c>
      <c r="D22" s="5">
        <f>VLOOKUP(A1,'[1]2021'!$A$1:$AH$101,29,0)</f>
        <v>7077</v>
      </c>
      <c r="E22" s="7" t="s">
        <v>37</v>
      </c>
    </row>
    <row r="23" spans="1:5" ht="15.75">
      <c r="A23" s="22" t="s">
        <v>16</v>
      </c>
      <c r="B23" s="23"/>
      <c r="C23" s="6">
        <f>SUM(C11:C22)</f>
        <v>320191.13</v>
      </c>
      <c r="D23" s="6">
        <f>SUM(D11:D22)</f>
        <v>304165.4</v>
      </c>
      <c r="E23" s="8"/>
    </row>
    <row r="24" spans="1:5" ht="15.75">
      <c r="A24" s="19" t="s">
        <v>25</v>
      </c>
      <c r="B24" s="20"/>
      <c r="C24" s="20"/>
      <c r="D24" s="20"/>
      <c r="E24" s="13">
        <f>E10+C23-D23</f>
        <v>802460.1500000003</v>
      </c>
    </row>
    <row r="28" spans="1:5" ht="18.75">
      <c r="A28" s="18" t="s">
        <v>19</v>
      </c>
      <c r="B28" s="18"/>
      <c r="C28" s="18"/>
      <c r="D28" s="18"/>
      <c r="E28" s="18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8"/>
      <c r="B31" s="18"/>
      <c r="C31" s="18"/>
      <c r="D31" s="18"/>
      <c r="E31" s="18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2022-02-09T08:41:37Z</dcterms:modified>
  <cp:category/>
  <cp:version/>
  <cp:contentType/>
  <cp:contentStatus/>
</cp:coreProperties>
</file>